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299" documentId="11_CE29FCC71A9C72524A6827E5B36A0B3D0AF65029" xr6:coauthVersionLast="47" xr6:coauthVersionMax="47" xr10:uidLastSave="{D0828F12-B207-4153-9CCD-54ECFF2D6755}"/>
  <bookViews>
    <workbookView xWindow="22932" yWindow="-108" windowWidth="23256" windowHeight="12456" tabRatio="950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'FEL-F23'!$A$3:$M$3</definedName>
    <definedName name="_xlnm._FilterDatabase" localSheetId="3" hidden="1">FJR!$A$3:$L$3</definedName>
    <definedName name="_xlnm._FilterDatabase" localSheetId="0" hidden="1">'MEL-S23'!$A$3:$M$3</definedName>
    <definedName name="_xlnm._FilterDatabase" localSheetId="2" hidden="1">MJR!$A$3:$L$3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28" l="1"/>
  <c r="D19" i="28"/>
  <c r="D9" i="29"/>
  <c r="D5" i="29"/>
  <c r="G4" i="31"/>
  <c r="G5" i="30"/>
  <c r="G6" i="30"/>
  <c r="G6" i="29"/>
  <c r="G4" i="29"/>
  <c r="G10" i="28"/>
  <c r="G4" i="28"/>
  <c r="H15" i="28"/>
  <c r="H8" i="28"/>
  <c r="H4" i="30"/>
  <c r="H5" i="31"/>
  <c r="H9" i="29"/>
  <c r="H7" i="29"/>
  <c r="H5" i="29"/>
  <c r="D18" i="28"/>
  <c r="D13" i="28"/>
  <c r="I12" i="28"/>
  <c r="I5" i="28"/>
  <c r="I6" i="28"/>
  <c r="I7" i="28"/>
  <c r="J5" i="28"/>
  <c r="J9" i="28"/>
  <c r="J4" i="28"/>
  <c r="K9" i="28"/>
  <c r="K7" i="28"/>
  <c r="K8" i="28"/>
  <c r="K4" i="28"/>
  <c r="K5" i="28"/>
  <c r="L12" i="28"/>
  <c r="L4" i="28"/>
  <c r="L7" i="28"/>
  <c r="L5" i="28"/>
  <c r="M16" i="28"/>
  <c r="M6" i="28"/>
  <c r="I4" i="29"/>
  <c r="I6" i="29"/>
  <c r="J6" i="29"/>
  <c r="J15" i="29"/>
  <c r="J14" i="29"/>
  <c r="J7" i="29"/>
  <c r="J4" i="29"/>
  <c r="K10" i="29"/>
  <c r="K13" i="29"/>
  <c r="K8" i="29"/>
  <c r="K11" i="29"/>
  <c r="K12" i="29"/>
  <c r="L6" i="29" l="1"/>
  <c r="M4" i="29"/>
  <c r="J7" i="31"/>
  <c r="J6" i="31"/>
  <c r="K8" i="31"/>
  <c r="K5" i="31"/>
  <c r="I4" i="31"/>
  <c r="J4" i="31"/>
  <c r="L4" i="31"/>
  <c r="M5" i="31"/>
  <c r="I6" i="30"/>
  <c r="I5" i="30"/>
  <c r="J4" i="30"/>
  <c r="J7" i="30"/>
  <c r="K8" i="30"/>
  <c r="K5" i="30"/>
  <c r="K4" i="30"/>
  <c r="M4" i="30" l="1"/>
  <c r="L6" i="30"/>
  <c r="L5" i="30"/>
  <c r="M10" i="28"/>
  <c r="M4" i="28"/>
  <c r="D14" i="28"/>
  <c r="D6" i="31" l="1"/>
  <c r="D7" i="31"/>
  <c r="D4" i="31"/>
  <c r="D9" i="28"/>
  <c r="D7" i="29" l="1"/>
  <c r="D15" i="29"/>
  <c r="D17" i="28"/>
  <c r="D8" i="28"/>
  <c r="D7" i="28" l="1"/>
  <c r="D20" i="28"/>
  <c r="D12" i="29"/>
  <c r="D4" i="28" l="1"/>
  <c r="D10" i="28"/>
  <c r="D4" i="29"/>
  <c r="D6" i="29"/>
  <c r="D16" i="28"/>
  <c r="D11" i="29"/>
  <c r="D10" i="29"/>
  <c r="D13" i="29"/>
  <c r="D5" i="30"/>
  <c r="D7" i="30"/>
  <c r="D5" i="28"/>
  <c r="D12" i="28" l="1"/>
  <c r="D14" i="29" l="1"/>
  <c r="D8" i="29"/>
  <c r="D5" i="31"/>
  <c r="D8" i="31"/>
  <c r="D8" i="30"/>
  <c r="D4" i="30"/>
  <c r="D6" i="30"/>
  <c r="D11" i="28"/>
  <c r="D6" i="28"/>
</calcChain>
</file>

<file path=xl/sharedStrings.xml><?xml version="1.0" encoding="utf-8"?>
<sst xmlns="http://schemas.openxmlformats.org/spreadsheetml/2006/main" count="126" uniqueCount="49">
  <si>
    <t>POS</t>
  </si>
  <si>
    <t>EQUIPE</t>
  </si>
  <si>
    <t>UF</t>
  </si>
  <si>
    <t>PTOS</t>
  </si>
  <si>
    <t>ACRS CYCLING TEAM/ROYAL CICLO/AUDAX</t>
  </si>
  <si>
    <t>4º Grande Prêmio Cavalo de Aço</t>
  </si>
  <si>
    <t>SECEL JARAGUA DO SUL</t>
  </si>
  <si>
    <t>ASSOCIACAO PEDALA ITAPEMA DE CICLISMO</t>
  </si>
  <si>
    <t>17ª Volta do Futuro</t>
  </si>
  <si>
    <t>IMUNO BRASIL -PREFEITURA CME IRACEMAPOLIS</t>
  </si>
  <si>
    <t>Grande Prêmio Campos do Jordão de Ciclismo</t>
  </si>
  <si>
    <t>SÃO JOSÉ CICLISMO / INSTITUTO ATHLON</t>
  </si>
  <si>
    <t>54º Circuito do Boa Vista</t>
  </si>
  <si>
    <t>ASSOCIACAO CICLISTICA ROLANDENSE</t>
  </si>
  <si>
    <t>35ª Prova Ciclística Subida do Morro da Cruz</t>
  </si>
  <si>
    <t>SC</t>
  </si>
  <si>
    <t>SP</t>
  </si>
  <si>
    <t>PR</t>
  </si>
  <si>
    <t>SESI CICLISMO</t>
  </si>
  <si>
    <t>CLUBE MARINGAENSE DE CICLISMO-CMC</t>
  </si>
  <si>
    <t>12ª Volta Feminina</t>
  </si>
  <si>
    <t>AVAI F.C. - FME FLORIANOPOLIS - APGF</t>
  </si>
  <si>
    <t>ASSOCIACAO JOINVILLENSE DE CICLISMO - AJOCICLO</t>
  </si>
  <si>
    <t>4º Grande Prêmio - Cavalo de Aço</t>
  </si>
  <si>
    <t>FUND DE AMPARO AO ESPORTE DO MUNICIPIO DE ARARAQUARA</t>
  </si>
  <si>
    <t>S2 TEAM/ALTINO OSASCO</t>
  </si>
  <si>
    <t>PINDAMONHANGABA CYCLING TEAM</t>
  </si>
  <si>
    <t>SOUL CYCLES - SANTOS</t>
  </si>
  <si>
    <t>LIGA DE CICLISMO CAMPOS GERAIS</t>
  </si>
  <si>
    <t>UCRJ / TURIM</t>
  </si>
  <si>
    <t>GUARATINGUETÁ CYCLING TEAM</t>
  </si>
  <si>
    <t>22ª Volta Ciclística de Goiás</t>
  </si>
  <si>
    <t>SWIFT PRO CYCLING</t>
  </si>
  <si>
    <t>TAUBATÉ CYCLING TEAM/TARUMÃ/ARAÚJO SIMÃO</t>
  </si>
  <si>
    <t>SOUL EXTREME RACING TEAM</t>
  </si>
  <si>
    <t>TIJUCAS BIKE TEAM</t>
  </si>
  <si>
    <t>RJ</t>
  </si>
  <si>
    <t>73ª Volta Ciclística 1º de Maio</t>
  </si>
  <si>
    <t>INDAIATUBA CYCLING TEAM</t>
  </si>
  <si>
    <t>AGI CYCLING TEAM</t>
  </si>
  <si>
    <t>LIGA DE CICLISMO SOROCABANA</t>
  </si>
  <si>
    <t>ABEC RIO CLARO</t>
  </si>
  <si>
    <t>DESAN DOMINI SEVEN</t>
  </si>
  <si>
    <t>74ª Dia do Trabalhador</t>
  </si>
  <si>
    <t>Copa Hans Fisher</t>
  </si>
  <si>
    <t>RANKING EQUIPES ESTRADA - ELITE/SUB23 MASCULINO - 23/05/2025</t>
  </si>
  <si>
    <t>RANKING EQUIPES ESTRADA - ELITE/SUB23 FEMININO - 23/05/2025</t>
  </si>
  <si>
    <t>RANKING EQUIPES ESTRADA - JUNIOR MASCULINO - 23/05/2025</t>
  </si>
  <si>
    <t>RANKING EQUIPES ESTRADA - JUNIOR FEMININO - 23/05/2025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</si>
</sst>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53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6" fontId="4" fillId="2" borderId="5" xfId="0" applyNumberFormat="1" applyFont="1" applyFill="1" applyBorder="1" applyAlignment="1">
      <alignment horizontal="center" vertical="center"/>
    </xf>
    <xf numFmtId="16" fontId="4" fillId="2" borderId="1" xfId="1" applyNumberFormat="1" applyFont="1" applyFill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14" fontId="32" fillId="0" borderId="7" xfId="0" applyNumberFormat="1" applyFont="1" applyBorder="1" applyAlignment="1">
      <alignment horizontal="center" vertical="center"/>
    </xf>
    <xf numFmtId="14" fontId="32" fillId="0" borderId="8" xfId="0" applyNumberFormat="1" applyFont="1" applyBorder="1" applyAlignment="1">
      <alignment horizontal="center" vertical="center"/>
    </xf>
    <xf numFmtId="14" fontId="32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285750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zoomScale="90" zoomScaleNormal="90" workbookViewId="0">
      <selection activeCell="A20" sqref="A20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13" width="6.6640625" style="11" customWidth="1"/>
    <col min="14" max="14" width="1" style="3" customWidth="1"/>
    <col min="15" max="16384" width="9.109375" style="3"/>
  </cols>
  <sheetData>
    <row r="1" spans="1:14" ht="85.5" customHeight="1" x14ac:dyDescent="0.25">
      <c r="A1" s="49"/>
      <c r="B1" s="50"/>
      <c r="C1" s="50"/>
      <c r="D1" s="51"/>
      <c r="E1" s="17"/>
      <c r="F1" s="44"/>
      <c r="G1" s="44" t="s">
        <v>44</v>
      </c>
      <c r="H1" s="44" t="s">
        <v>43</v>
      </c>
      <c r="I1" s="44" t="s">
        <v>37</v>
      </c>
      <c r="J1" s="44" t="s">
        <v>14</v>
      </c>
      <c r="K1" s="44" t="s">
        <v>12</v>
      </c>
      <c r="L1" s="44" t="s">
        <v>31</v>
      </c>
      <c r="M1" s="42" t="s">
        <v>5</v>
      </c>
      <c r="N1" s="17"/>
    </row>
    <row r="2" spans="1:14" s="4" customFormat="1" ht="78.75" customHeight="1" x14ac:dyDescent="0.25">
      <c r="A2" s="46" t="s">
        <v>45</v>
      </c>
      <c r="B2" s="47"/>
      <c r="C2" s="47"/>
      <c r="D2" s="48"/>
      <c r="E2" s="18"/>
      <c r="F2" s="45"/>
      <c r="G2" s="45"/>
      <c r="H2" s="45"/>
      <c r="I2" s="45"/>
      <c r="J2" s="45"/>
      <c r="K2" s="45"/>
      <c r="L2" s="45"/>
      <c r="M2" s="43"/>
      <c r="N2" s="23"/>
    </row>
    <row r="3" spans="1:14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16"/>
      <c r="G3" s="38">
        <v>45781</v>
      </c>
      <c r="H3" s="38">
        <v>45778</v>
      </c>
      <c r="I3" s="38">
        <v>45778</v>
      </c>
      <c r="J3" s="38">
        <v>45753</v>
      </c>
      <c r="K3" s="38">
        <v>45746</v>
      </c>
      <c r="L3" s="38">
        <v>45732</v>
      </c>
      <c r="M3" s="36">
        <v>45704</v>
      </c>
      <c r="N3" s="24"/>
    </row>
    <row r="4" spans="1:14" s="10" customFormat="1" ht="18" customHeight="1" x14ac:dyDescent="0.25">
      <c r="A4" s="1">
        <v>1</v>
      </c>
      <c r="B4" s="5" t="s">
        <v>4</v>
      </c>
      <c r="C4" s="32" t="s">
        <v>15</v>
      </c>
      <c r="D4" s="1">
        <f t="shared" ref="D4:D20" si="0">SUM(F4:N4)</f>
        <v>621</v>
      </c>
      <c r="E4" s="20"/>
      <c r="F4" s="6"/>
      <c r="G4" s="39">
        <f>60+55+50+45</f>
        <v>210</v>
      </c>
      <c r="H4" s="6"/>
      <c r="I4" s="6"/>
      <c r="J4" s="6">
        <f>25+40+13+5</f>
        <v>83</v>
      </c>
      <c r="K4" s="6">
        <f>65+60+25+20</f>
        <v>170</v>
      </c>
      <c r="L4" s="6">
        <f>37+7</f>
        <v>44</v>
      </c>
      <c r="M4" s="6">
        <f>40+35+30+9</f>
        <v>114</v>
      </c>
      <c r="N4" s="25"/>
    </row>
    <row r="5" spans="1:14" s="10" customFormat="1" ht="18" customHeight="1" x14ac:dyDescent="0.25">
      <c r="A5" s="1">
        <v>2</v>
      </c>
      <c r="B5" s="5" t="s">
        <v>33</v>
      </c>
      <c r="C5" s="1" t="s">
        <v>16</v>
      </c>
      <c r="D5" s="1">
        <f t="shared" si="0"/>
        <v>414</v>
      </c>
      <c r="E5" s="20"/>
      <c r="F5" s="6"/>
      <c r="G5" s="6"/>
      <c r="H5" s="6"/>
      <c r="I5" s="6">
        <f>70+40+10</f>
        <v>120</v>
      </c>
      <c r="J5" s="6">
        <f>30+9+17</f>
        <v>56</v>
      </c>
      <c r="K5" s="6">
        <f>80+70+15+10</f>
        <v>175</v>
      </c>
      <c r="L5" s="6">
        <f>50+10+3</f>
        <v>63</v>
      </c>
      <c r="M5" s="6"/>
      <c r="N5" s="25"/>
    </row>
    <row r="6" spans="1:14" s="10" customFormat="1" ht="18" customHeight="1" x14ac:dyDescent="0.25">
      <c r="A6" s="1">
        <v>3</v>
      </c>
      <c r="B6" s="34" t="s">
        <v>26</v>
      </c>
      <c r="C6" s="1" t="s">
        <v>16</v>
      </c>
      <c r="D6" s="1">
        <f t="shared" si="0"/>
        <v>298</v>
      </c>
      <c r="E6" s="20"/>
      <c r="F6" s="6"/>
      <c r="G6" s="6"/>
      <c r="H6" s="6"/>
      <c r="I6" s="6">
        <f>75+65</f>
        <v>140</v>
      </c>
      <c r="J6" s="6"/>
      <c r="K6" s="6"/>
      <c r="L6" s="6">
        <v>55</v>
      </c>
      <c r="M6" s="6">
        <f>35+30+25+13</f>
        <v>103</v>
      </c>
      <c r="N6" s="25"/>
    </row>
    <row r="7" spans="1:14" s="10" customFormat="1" ht="18" customHeight="1" x14ac:dyDescent="0.25">
      <c r="A7" s="1">
        <v>4</v>
      </c>
      <c r="B7" s="5" t="s">
        <v>32</v>
      </c>
      <c r="C7" s="1" t="s">
        <v>16</v>
      </c>
      <c r="D7" s="1">
        <f t="shared" si="0"/>
        <v>238</v>
      </c>
      <c r="E7" s="20"/>
      <c r="F7" s="6"/>
      <c r="G7" s="6"/>
      <c r="H7" s="6"/>
      <c r="I7" s="6">
        <f>4+8+80+45</f>
        <v>137</v>
      </c>
      <c r="J7" s="6"/>
      <c r="K7" s="6">
        <f>8+3</f>
        <v>11</v>
      </c>
      <c r="L7" s="6">
        <f>40+31+15+4</f>
        <v>90</v>
      </c>
      <c r="M7" s="6"/>
      <c r="N7" s="25"/>
    </row>
    <row r="8" spans="1:14" s="10" customFormat="1" ht="18" customHeight="1" x14ac:dyDescent="0.25">
      <c r="A8" s="1">
        <v>5</v>
      </c>
      <c r="B8" s="5" t="s">
        <v>29</v>
      </c>
      <c r="C8" s="1" t="s">
        <v>36</v>
      </c>
      <c r="D8" s="1">
        <f t="shared" si="0"/>
        <v>162</v>
      </c>
      <c r="E8" s="20"/>
      <c r="F8" s="6"/>
      <c r="G8" s="6"/>
      <c r="H8" s="6">
        <f>40+25+35</f>
        <v>100</v>
      </c>
      <c r="I8" s="33"/>
      <c r="J8" s="6"/>
      <c r="K8" s="6">
        <f>45+2</f>
        <v>47</v>
      </c>
      <c r="L8" s="6"/>
      <c r="M8" s="6">
        <v>15</v>
      </c>
      <c r="N8" s="25"/>
    </row>
    <row r="9" spans="1:14" s="10" customFormat="1" ht="18" customHeight="1" x14ac:dyDescent="0.25">
      <c r="A9" s="1">
        <v>6</v>
      </c>
      <c r="B9" s="34" t="s">
        <v>21</v>
      </c>
      <c r="C9" s="1" t="s">
        <v>15</v>
      </c>
      <c r="D9" s="1">
        <f t="shared" si="0"/>
        <v>106</v>
      </c>
      <c r="E9" s="20"/>
      <c r="F9" s="6"/>
      <c r="G9" s="6"/>
      <c r="H9" s="6"/>
      <c r="I9" s="41"/>
      <c r="J9" s="6">
        <f>11+35+7</f>
        <v>53</v>
      </c>
      <c r="K9" s="6">
        <f>11+35+7</f>
        <v>53</v>
      </c>
      <c r="L9" s="6"/>
      <c r="M9" s="6"/>
      <c r="N9" s="25"/>
    </row>
    <row r="10" spans="1:14" s="10" customFormat="1" ht="18" customHeight="1" x14ac:dyDescent="0.25">
      <c r="A10" s="1">
        <v>7</v>
      </c>
      <c r="B10" s="5" t="s">
        <v>6</v>
      </c>
      <c r="C10" s="1" t="s">
        <v>15</v>
      </c>
      <c r="D10" s="1">
        <f t="shared" si="0"/>
        <v>101</v>
      </c>
      <c r="E10" s="20"/>
      <c r="F10" s="6"/>
      <c r="G10" s="6">
        <f>35+3+2</f>
        <v>40</v>
      </c>
      <c r="H10" s="6"/>
      <c r="I10" s="6"/>
      <c r="J10" s="6"/>
      <c r="K10" s="6">
        <v>40</v>
      </c>
      <c r="L10" s="6"/>
      <c r="M10" s="6">
        <f>11+7+2+1</f>
        <v>21</v>
      </c>
      <c r="N10" s="25"/>
    </row>
    <row r="11" spans="1:14" s="10" customFormat="1" ht="18" customHeight="1" x14ac:dyDescent="0.25">
      <c r="A11" s="1">
        <v>8</v>
      </c>
      <c r="B11" s="5" t="s">
        <v>27</v>
      </c>
      <c r="C11" s="1" t="s">
        <v>16</v>
      </c>
      <c r="D11" s="1">
        <f t="shared" si="0"/>
        <v>85</v>
      </c>
      <c r="E11" s="20"/>
      <c r="F11" s="6"/>
      <c r="G11" s="6"/>
      <c r="H11" s="6"/>
      <c r="I11" s="6">
        <v>55</v>
      </c>
      <c r="J11" s="6"/>
      <c r="K11" s="6"/>
      <c r="L11" s="6">
        <v>30</v>
      </c>
      <c r="M11" s="6"/>
      <c r="N11" s="25"/>
    </row>
    <row r="12" spans="1:14" s="10" customFormat="1" ht="18" customHeight="1" x14ac:dyDescent="0.25">
      <c r="A12" s="1">
        <v>9</v>
      </c>
      <c r="B12" s="34" t="s">
        <v>11</v>
      </c>
      <c r="C12" s="1" t="s">
        <v>16</v>
      </c>
      <c r="D12" s="1">
        <f t="shared" si="0"/>
        <v>68</v>
      </c>
      <c r="E12" s="20"/>
      <c r="F12" s="6"/>
      <c r="G12" s="6"/>
      <c r="H12" s="6"/>
      <c r="I12" s="6">
        <f>25+15+9</f>
        <v>49</v>
      </c>
      <c r="J12" s="6"/>
      <c r="K12" s="6"/>
      <c r="L12" s="6">
        <f>9+8+2</f>
        <v>19</v>
      </c>
      <c r="M12" s="6"/>
      <c r="N12" s="25"/>
    </row>
    <row r="13" spans="1:14" s="10" customFormat="1" ht="18" customHeight="1" x14ac:dyDescent="0.25">
      <c r="A13" s="1">
        <v>10</v>
      </c>
      <c r="B13" s="5" t="s">
        <v>38</v>
      </c>
      <c r="C13" s="1" t="s">
        <v>16</v>
      </c>
      <c r="D13" s="1">
        <f t="shared" si="0"/>
        <v>67</v>
      </c>
      <c r="E13" s="20"/>
      <c r="F13" s="6"/>
      <c r="G13" s="6"/>
      <c r="H13" s="6"/>
      <c r="I13" s="6">
        <v>67</v>
      </c>
      <c r="J13" s="6"/>
      <c r="K13" s="6"/>
      <c r="L13" s="6"/>
      <c r="M13" s="6"/>
      <c r="N13" s="25"/>
    </row>
    <row r="14" spans="1:14" s="10" customFormat="1" ht="18" customHeight="1" x14ac:dyDescent="0.25">
      <c r="A14" s="1">
        <v>11</v>
      </c>
      <c r="B14" s="5" t="s">
        <v>34</v>
      </c>
      <c r="C14" s="1" t="s">
        <v>15</v>
      </c>
      <c r="D14" s="1">
        <f t="shared" si="0"/>
        <v>50</v>
      </c>
      <c r="E14" s="20"/>
      <c r="F14" s="6"/>
      <c r="G14" s="6"/>
      <c r="H14" s="6"/>
      <c r="I14" s="6"/>
      <c r="J14" s="6"/>
      <c r="K14" s="6">
        <v>50</v>
      </c>
      <c r="L14" s="6"/>
      <c r="M14" s="6"/>
      <c r="N14" s="25"/>
    </row>
    <row r="15" spans="1:14" s="10" customFormat="1" ht="18" customHeight="1" x14ac:dyDescent="0.25">
      <c r="A15" s="1">
        <v>12</v>
      </c>
      <c r="B15" s="5" t="s">
        <v>42</v>
      </c>
      <c r="C15" s="1" t="s">
        <v>36</v>
      </c>
      <c r="D15" s="1">
        <f t="shared" si="0"/>
        <v>40</v>
      </c>
      <c r="E15" s="20"/>
      <c r="F15" s="6"/>
      <c r="G15" s="6"/>
      <c r="H15" s="6">
        <f>15+13+9+3</f>
        <v>40</v>
      </c>
      <c r="I15" s="33"/>
      <c r="J15" s="6"/>
      <c r="K15" s="6"/>
      <c r="L15" s="6"/>
      <c r="M15" s="6"/>
      <c r="N15" s="25"/>
    </row>
    <row r="16" spans="1:14" s="10" customFormat="1" ht="18" customHeight="1" x14ac:dyDescent="0.25">
      <c r="A16" s="1">
        <v>13</v>
      </c>
      <c r="B16" s="5" t="s">
        <v>30</v>
      </c>
      <c r="C16" s="1" t="s">
        <v>16</v>
      </c>
      <c r="D16" s="1">
        <f t="shared" si="0"/>
        <v>21</v>
      </c>
      <c r="E16" s="20"/>
      <c r="F16" s="6"/>
      <c r="G16" s="6"/>
      <c r="H16" s="6"/>
      <c r="I16" s="6"/>
      <c r="J16" s="6"/>
      <c r="K16" s="6"/>
      <c r="L16" s="6"/>
      <c r="M16" s="6">
        <f>11+7+3</f>
        <v>21</v>
      </c>
      <c r="N16" s="25"/>
    </row>
    <row r="17" spans="1:14" s="10" customFormat="1" ht="18" customHeight="1" x14ac:dyDescent="0.25">
      <c r="A17" s="1">
        <v>14</v>
      </c>
      <c r="B17" s="5" t="s">
        <v>35</v>
      </c>
      <c r="C17" s="1" t="s">
        <v>15</v>
      </c>
      <c r="D17" s="1">
        <f t="shared" si="0"/>
        <v>9</v>
      </c>
      <c r="E17" s="20"/>
      <c r="F17" s="6"/>
      <c r="G17" s="6"/>
      <c r="H17" s="6"/>
      <c r="I17" s="6"/>
      <c r="J17" s="6">
        <v>9</v>
      </c>
      <c r="K17" s="6"/>
      <c r="L17" s="6"/>
      <c r="M17" s="6"/>
      <c r="N17" s="25"/>
    </row>
    <row r="18" spans="1:14" s="10" customFormat="1" ht="18" customHeight="1" x14ac:dyDescent="0.25">
      <c r="A18" s="1">
        <v>15</v>
      </c>
      <c r="B18" s="5" t="s">
        <v>39</v>
      </c>
      <c r="C18" s="1" t="s">
        <v>16</v>
      </c>
      <c r="D18" s="1">
        <f t="shared" si="0"/>
        <v>6</v>
      </c>
      <c r="E18" s="20"/>
      <c r="F18" s="6"/>
      <c r="G18" s="6"/>
      <c r="H18" s="6"/>
      <c r="I18" s="41">
        <v>6</v>
      </c>
      <c r="J18" s="6"/>
      <c r="K18" s="6"/>
      <c r="L18" s="6"/>
      <c r="M18" s="6"/>
      <c r="N18" s="25"/>
    </row>
    <row r="19" spans="1:14" s="10" customFormat="1" ht="18" customHeight="1" x14ac:dyDescent="0.25">
      <c r="A19" s="1">
        <v>16</v>
      </c>
      <c r="B19" s="5" t="s">
        <v>40</v>
      </c>
      <c r="C19" s="1" t="s">
        <v>16</v>
      </c>
      <c r="D19" s="1">
        <f t="shared" si="0"/>
        <v>5</v>
      </c>
      <c r="E19" s="20"/>
      <c r="F19" s="6"/>
      <c r="G19" s="6"/>
      <c r="H19" s="6"/>
      <c r="I19" s="6">
        <v>5</v>
      </c>
      <c r="J19" s="6"/>
      <c r="K19" s="6"/>
      <c r="L19" s="6"/>
      <c r="M19" s="6"/>
      <c r="N19" s="25"/>
    </row>
    <row r="20" spans="1:14" s="10" customFormat="1" ht="18" customHeight="1" x14ac:dyDescent="0.25">
      <c r="A20" s="1">
        <v>17</v>
      </c>
      <c r="B20" s="35" t="s">
        <v>19</v>
      </c>
      <c r="C20" s="1" t="s">
        <v>17</v>
      </c>
      <c r="D20" s="1">
        <f t="shared" si="0"/>
        <v>1</v>
      </c>
      <c r="E20" s="20"/>
      <c r="F20" s="6"/>
      <c r="G20" s="6"/>
      <c r="H20" s="6"/>
      <c r="I20" s="6"/>
      <c r="J20" s="6"/>
      <c r="K20" s="6">
        <v>1</v>
      </c>
      <c r="L20" s="6"/>
      <c r="M20" s="6"/>
      <c r="N20" s="25"/>
    </row>
    <row r="21" spans="1:14" ht="18" customHeight="1" x14ac:dyDescent="0.25">
      <c r="A21" s="1"/>
      <c r="B21" s="5"/>
      <c r="C21" s="1"/>
      <c r="D21" s="1"/>
      <c r="E21" s="18"/>
      <c r="F21" s="6"/>
      <c r="G21" s="6"/>
      <c r="H21" s="6"/>
      <c r="I21" s="6"/>
      <c r="J21" s="6"/>
      <c r="K21" s="6"/>
      <c r="L21" s="6"/>
      <c r="M21" s="6"/>
      <c r="N21" s="23"/>
    </row>
    <row r="22" spans="1:14" ht="6.9" customHeight="1" x14ac:dyDescent="0.25">
      <c r="A22" s="27"/>
      <c r="B22" s="28"/>
      <c r="C22" s="22"/>
      <c r="D22" s="29"/>
      <c r="E22" s="22"/>
      <c r="F22" s="30"/>
      <c r="G22" s="30"/>
      <c r="H22" s="30"/>
      <c r="I22" s="30"/>
      <c r="J22" s="30"/>
      <c r="K22" s="30"/>
      <c r="L22" s="30"/>
      <c r="M22" s="30"/>
      <c r="N22" s="26"/>
    </row>
    <row r="23" spans="1:14" s="7" customFormat="1" ht="12.75" customHeight="1" x14ac:dyDescent="0.25">
      <c r="A23" s="12"/>
      <c r="B23" s="14"/>
      <c r="C23" s="13"/>
      <c r="D23" s="13"/>
      <c r="E23" s="13"/>
      <c r="F23" s="11"/>
      <c r="G23" s="11"/>
      <c r="H23" s="11"/>
      <c r="I23" s="11"/>
      <c r="J23" s="11"/>
      <c r="K23" s="11"/>
      <c r="L23" s="11"/>
      <c r="M23" s="11"/>
    </row>
  </sheetData>
  <sheetProtection algorithmName="SHA-512" hashValue="fCOLjvJSABcsGLEzoOpG80Pdyk+lENJZOLzpQrxpll/uXS4H4FkPG53DyUWSXDUiHsTKYp1MGj0QSGKOA5po+g==" saltValue="n3G7rJZuD1IALpXlOR6ZjQ==" spinCount="100000" sheet="1" selectLockedCells="1" selectUnlockedCells="1"/>
  <sortState xmlns:xlrd2="http://schemas.microsoft.com/office/spreadsheetml/2017/richdata2" ref="B4:M20">
    <sortCondition descending="1" ref="D4:D20"/>
  </sortState>
  <mergeCells count="10">
    <mergeCell ref="M1:M2"/>
    <mergeCell ref="K1:K2"/>
    <mergeCell ref="L1:L2"/>
    <mergeCell ref="A2:D2"/>
    <mergeCell ref="J1:J2"/>
    <mergeCell ref="F1:F2"/>
    <mergeCell ref="A1:D1"/>
    <mergeCell ref="I1:I2"/>
    <mergeCell ref="H1:H2"/>
    <mergeCell ref="G1:G2"/>
  </mergeCells>
  <conditionalFormatting sqref="B21:B1048576 B1:B7">
    <cfRule type="duplicateValues" dxfId="10" priority="1"/>
    <cfRule type="duplicateValues" dxfId="9" priority="3"/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8"/>
  <sheetViews>
    <sheetView zoomScale="90" zoomScaleNormal="90" workbookViewId="0">
      <selection activeCell="A15" sqref="A15"/>
    </sheetView>
  </sheetViews>
  <sheetFormatPr defaultColWidth="9.109375" defaultRowHeight="13.8" x14ac:dyDescent="0.25"/>
  <cols>
    <col min="1" max="1" width="5.6640625" style="8" bestFit="1" customWidth="1"/>
    <col min="2" max="2" width="66.77734375" style="9" bestFit="1" customWidth="1"/>
    <col min="3" max="3" width="8" style="2" customWidth="1"/>
    <col min="4" max="4" width="8" style="2" bestFit="1" customWidth="1"/>
    <col min="5" max="5" width="1" style="2" customWidth="1"/>
    <col min="6" max="13" width="6.6640625" style="11" customWidth="1"/>
    <col min="14" max="14" width="1" style="3" customWidth="1"/>
    <col min="15" max="16384" width="9.109375" style="3"/>
  </cols>
  <sheetData>
    <row r="1" spans="1:14" ht="85.5" customHeight="1" x14ac:dyDescent="0.25">
      <c r="A1" s="49"/>
      <c r="B1" s="50"/>
      <c r="C1" s="50"/>
      <c r="D1" s="51"/>
      <c r="E1" s="17"/>
      <c r="F1" s="44"/>
      <c r="G1" s="44" t="s">
        <v>44</v>
      </c>
      <c r="H1" s="44" t="s">
        <v>37</v>
      </c>
      <c r="I1" s="44" t="s">
        <v>14</v>
      </c>
      <c r="J1" s="44" t="s">
        <v>12</v>
      </c>
      <c r="K1" s="44" t="s">
        <v>10</v>
      </c>
      <c r="L1" s="52" t="s">
        <v>23</v>
      </c>
      <c r="M1" s="42" t="s">
        <v>20</v>
      </c>
      <c r="N1" s="17"/>
    </row>
    <row r="2" spans="1:14" s="4" customFormat="1" ht="93" customHeight="1" x14ac:dyDescent="0.25">
      <c r="A2" s="46" t="s">
        <v>46</v>
      </c>
      <c r="B2" s="47"/>
      <c r="C2" s="47"/>
      <c r="D2" s="48"/>
      <c r="E2" s="18"/>
      <c r="F2" s="45"/>
      <c r="G2" s="45"/>
      <c r="H2" s="45"/>
      <c r="I2" s="45"/>
      <c r="J2" s="45"/>
      <c r="K2" s="45"/>
      <c r="L2" s="52"/>
      <c r="M2" s="43"/>
      <c r="N2" s="23"/>
    </row>
    <row r="3" spans="1:14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45781</v>
      </c>
      <c r="H3" s="38">
        <v>45778</v>
      </c>
      <c r="I3" s="38">
        <v>45753</v>
      </c>
      <c r="J3" s="38">
        <v>45745</v>
      </c>
      <c r="K3" s="38">
        <v>45725</v>
      </c>
      <c r="L3" s="38">
        <v>45704</v>
      </c>
      <c r="M3" s="37">
        <v>45697</v>
      </c>
      <c r="N3" s="24"/>
    </row>
    <row r="4" spans="1:14" s="10" customFormat="1" ht="18" customHeight="1" x14ac:dyDescent="0.25">
      <c r="A4" s="1">
        <v>1</v>
      </c>
      <c r="B4" s="5" t="s">
        <v>21</v>
      </c>
      <c r="C4" s="1" t="s">
        <v>15</v>
      </c>
      <c r="D4" s="1">
        <f t="shared" ref="D4:D15" si="0">SUM(F4:M4)</f>
        <v>261</v>
      </c>
      <c r="E4" s="21"/>
      <c r="F4" s="1"/>
      <c r="G4" s="40">
        <f>60+55</f>
        <v>115</v>
      </c>
      <c r="H4" s="40"/>
      <c r="I4" s="39">
        <f>40+17</f>
        <v>57</v>
      </c>
      <c r="J4" s="1">
        <f>40+15+17</f>
        <v>72</v>
      </c>
      <c r="K4" s="1"/>
      <c r="L4" s="1"/>
      <c r="M4" s="1">
        <f>9+8</f>
        <v>17</v>
      </c>
      <c r="N4" s="21"/>
    </row>
    <row r="5" spans="1:14" s="10" customFormat="1" ht="18" customHeight="1" x14ac:dyDescent="0.25">
      <c r="A5" s="1">
        <v>2</v>
      </c>
      <c r="B5" s="35" t="s">
        <v>38</v>
      </c>
      <c r="C5" s="1" t="s">
        <v>16</v>
      </c>
      <c r="D5" s="1">
        <f t="shared" si="0"/>
        <v>195</v>
      </c>
      <c r="E5" s="21"/>
      <c r="F5" s="1"/>
      <c r="G5" s="1"/>
      <c r="H5" s="1">
        <f>80+75+40</f>
        <v>195</v>
      </c>
      <c r="I5" s="1"/>
      <c r="J5" s="1"/>
      <c r="K5" s="1"/>
      <c r="L5" s="1"/>
      <c r="M5" s="1"/>
      <c r="N5" s="21"/>
    </row>
    <row r="6" spans="1:14" s="10" customFormat="1" ht="18" customHeight="1" x14ac:dyDescent="0.25">
      <c r="A6" s="1">
        <v>3</v>
      </c>
      <c r="B6" s="34" t="s">
        <v>22</v>
      </c>
      <c r="C6" s="1" t="s">
        <v>15</v>
      </c>
      <c r="D6" s="1">
        <f t="shared" si="0"/>
        <v>183</v>
      </c>
      <c r="E6" s="21"/>
      <c r="F6" s="1"/>
      <c r="G6" s="1">
        <f>33+35</f>
        <v>68</v>
      </c>
      <c r="H6" s="1"/>
      <c r="I6" s="1">
        <f>11+9+15</f>
        <v>35</v>
      </c>
      <c r="J6" s="1">
        <f>25+1+9</f>
        <v>35</v>
      </c>
      <c r="K6" s="1"/>
      <c r="L6" s="1">
        <f>20+25</f>
        <v>45</v>
      </c>
      <c r="M6" s="1"/>
      <c r="N6" s="21"/>
    </row>
    <row r="7" spans="1:14" s="10" customFormat="1" ht="18" customHeight="1" x14ac:dyDescent="0.25">
      <c r="A7" s="1">
        <v>4</v>
      </c>
      <c r="B7" s="5" t="s">
        <v>27</v>
      </c>
      <c r="C7" s="1" t="s">
        <v>16</v>
      </c>
      <c r="D7" s="1">
        <f t="shared" si="0"/>
        <v>121</v>
      </c>
      <c r="E7" s="21"/>
      <c r="F7" s="1"/>
      <c r="G7" s="1"/>
      <c r="H7" s="1">
        <f>70+9+5</f>
        <v>84</v>
      </c>
      <c r="I7" s="1"/>
      <c r="J7" s="1">
        <f>30+7</f>
        <v>37</v>
      </c>
      <c r="K7" s="1"/>
      <c r="L7" s="1"/>
      <c r="M7" s="1"/>
      <c r="N7" s="21"/>
    </row>
    <row r="8" spans="1:14" s="10" customFormat="1" ht="18" customHeight="1" x14ac:dyDescent="0.25">
      <c r="A8" s="1">
        <v>5</v>
      </c>
      <c r="B8" s="33" t="s">
        <v>26</v>
      </c>
      <c r="C8" s="1" t="s">
        <v>16</v>
      </c>
      <c r="D8" s="1">
        <f t="shared" si="0"/>
        <v>100</v>
      </c>
      <c r="E8" s="21"/>
      <c r="F8" s="1"/>
      <c r="G8" s="1"/>
      <c r="H8" s="1">
        <v>50</v>
      </c>
      <c r="I8" s="1"/>
      <c r="J8" s="1"/>
      <c r="K8" s="1">
        <f>30+20</f>
        <v>50</v>
      </c>
      <c r="L8" s="1"/>
      <c r="M8" s="1"/>
      <c r="N8" s="21"/>
    </row>
    <row r="9" spans="1:14" s="10" customFormat="1" ht="18" customHeight="1" x14ac:dyDescent="0.25">
      <c r="A9" s="1">
        <v>5</v>
      </c>
      <c r="B9" s="35" t="s">
        <v>41</v>
      </c>
      <c r="C9" s="1" t="s">
        <v>16</v>
      </c>
      <c r="D9" s="1">
        <f t="shared" si="0"/>
        <v>100</v>
      </c>
      <c r="E9" s="21"/>
      <c r="F9" s="1"/>
      <c r="G9" s="1"/>
      <c r="H9" s="1">
        <f>65+10+25</f>
        <v>100</v>
      </c>
      <c r="I9" s="1"/>
      <c r="J9" s="1"/>
      <c r="K9" s="1"/>
      <c r="L9" s="1"/>
      <c r="M9" s="1"/>
      <c r="N9" s="21"/>
    </row>
    <row r="10" spans="1:14" s="10" customFormat="1" ht="18" customHeight="1" x14ac:dyDescent="0.25">
      <c r="A10" s="1">
        <v>7</v>
      </c>
      <c r="B10" s="33" t="s">
        <v>11</v>
      </c>
      <c r="C10" s="1" t="s">
        <v>16</v>
      </c>
      <c r="D10" s="1">
        <f t="shared" si="0"/>
        <v>85</v>
      </c>
      <c r="E10" s="21"/>
      <c r="F10" s="1"/>
      <c r="G10" s="1"/>
      <c r="H10" s="1">
        <v>61</v>
      </c>
      <c r="I10" s="1"/>
      <c r="J10" s="1"/>
      <c r="K10" s="1">
        <f>15+7+2</f>
        <v>24</v>
      </c>
      <c r="L10" s="1"/>
      <c r="M10" s="1"/>
      <c r="N10" s="21"/>
    </row>
    <row r="11" spans="1:14" s="10" customFormat="1" ht="18" customHeight="1" x14ac:dyDescent="0.25">
      <c r="A11" s="1">
        <v>8</v>
      </c>
      <c r="B11" s="33" t="s">
        <v>25</v>
      </c>
      <c r="C11" s="1" t="s">
        <v>16</v>
      </c>
      <c r="D11" s="1">
        <f t="shared" si="0"/>
        <v>75</v>
      </c>
      <c r="E11" s="21"/>
      <c r="F11" s="1"/>
      <c r="G11" s="1"/>
      <c r="H11" s="1">
        <v>10</v>
      </c>
      <c r="I11" s="1"/>
      <c r="J11" s="1"/>
      <c r="K11" s="1">
        <f>40+25</f>
        <v>65</v>
      </c>
      <c r="L11" s="1"/>
      <c r="M11" s="1"/>
      <c r="N11" s="21"/>
    </row>
    <row r="12" spans="1:14" s="10" customFormat="1" ht="18" customHeight="1" x14ac:dyDescent="0.25">
      <c r="A12" s="1">
        <v>9</v>
      </c>
      <c r="B12" s="5" t="s">
        <v>24</v>
      </c>
      <c r="C12" s="1" t="s">
        <v>16</v>
      </c>
      <c r="D12" s="1">
        <f t="shared" si="0"/>
        <v>44</v>
      </c>
      <c r="E12" s="21"/>
      <c r="F12" s="1"/>
      <c r="G12" s="1"/>
      <c r="H12" s="1"/>
      <c r="I12" s="1"/>
      <c r="J12" s="1"/>
      <c r="K12" s="1">
        <f>35+9</f>
        <v>44</v>
      </c>
      <c r="L12" s="1"/>
      <c r="M12" s="1"/>
      <c r="N12" s="21"/>
    </row>
    <row r="13" spans="1:14" s="10" customFormat="1" ht="18" customHeight="1" x14ac:dyDescent="0.25">
      <c r="A13" s="1">
        <v>10</v>
      </c>
      <c r="B13" s="35" t="s">
        <v>18</v>
      </c>
      <c r="C13" s="1" t="s">
        <v>16</v>
      </c>
      <c r="D13" s="1">
        <f t="shared" si="0"/>
        <v>28</v>
      </c>
      <c r="E13" s="21"/>
      <c r="F13" s="1"/>
      <c r="G13" s="1"/>
      <c r="H13" s="1">
        <v>3</v>
      </c>
      <c r="I13" s="1"/>
      <c r="J13" s="1"/>
      <c r="K13" s="1">
        <f>17+5</f>
        <v>22</v>
      </c>
      <c r="L13" s="1"/>
      <c r="M13" s="1">
        <v>3</v>
      </c>
      <c r="N13" s="21"/>
    </row>
    <row r="14" spans="1:14" s="10" customFormat="1" ht="18" customHeight="1" x14ac:dyDescent="0.25">
      <c r="A14" s="1">
        <v>11</v>
      </c>
      <c r="B14" s="5" t="s">
        <v>28</v>
      </c>
      <c r="C14" s="1" t="s">
        <v>17</v>
      </c>
      <c r="D14" s="1">
        <f t="shared" si="0"/>
        <v>15</v>
      </c>
      <c r="E14" s="21"/>
      <c r="F14" s="1"/>
      <c r="G14" s="1"/>
      <c r="H14" s="1"/>
      <c r="I14" s="1"/>
      <c r="J14" s="1">
        <f>13+2</f>
        <v>15</v>
      </c>
      <c r="K14" s="1"/>
      <c r="L14" s="1"/>
      <c r="M14" s="1"/>
      <c r="N14" s="21"/>
    </row>
    <row r="15" spans="1:14" s="10" customFormat="1" ht="18" customHeight="1" x14ac:dyDescent="0.25">
      <c r="A15" s="1">
        <v>12</v>
      </c>
      <c r="B15" s="5" t="s">
        <v>19</v>
      </c>
      <c r="C15" s="1" t="s">
        <v>17</v>
      </c>
      <c r="D15" s="1">
        <f t="shared" si="0"/>
        <v>14</v>
      </c>
      <c r="E15" s="21"/>
      <c r="F15" s="1"/>
      <c r="G15" s="1"/>
      <c r="H15" s="1"/>
      <c r="I15" s="1"/>
      <c r="J15" s="1">
        <f>11+3</f>
        <v>14</v>
      </c>
      <c r="K15" s="1"/>
      <c r="L15" s="1"/>
      <c r="M15" s="1"/>
      <c r="N15" s="21"/>
    </row>
    <row r="16" spans="1:14" ht="18" customHeight="1" x14ac:dyDescent="0.25">
      <c r="A16" s="1"/>
      <c r="B16" s="5"/>
      <c r="C16" s="1"/>
      <c r="D16" s="1"/>
      <c r="E16" s="18"/>
      <c r="F16" s="6"/>
      <c r="G16" s="6"/>
      <c r="H16" s="6"/>
      <c r="I16" s="6"/>
      <c r="J16" s="6"/>
      <c r="K16" s="6"/>
      <c r="L16" s="6"/>
      <c r="M16" s="6"/>
      <c r="N16" s="23"/>
    </row>
    <row r="17" spans="1:14" ht="6.9" customHeight="1" x14ac:dyDescent="0.25">
      <c r="A17" s="27"/>
      <c r="B17" s="28"/>
      <c r="C17" s="22"/>
      <c r="D17" s="29"/>
      <c r="E17" s="22"/>
      <c r="F17" s="30"/>
      <c r="G17" s="30"/>
      <c r="H17" s="30"/>
      <c r="I17" s="30"/>
      <c r="J17" s="30"/>
      <c r="K17" s="30"/>
      <c r="L17" s="30"/>
      <c r="M17" s="30"/>
      <c r="N17" s="26"/>
    </row>
    <row r="18" spans="1:14" s="7" customFormat="1" ht="12.75" customHeight="1" x14ac:dyDescent="0.25">
      <c r="A18" s="12"/>
      <c r="B18" s="14"/>
      <c r="C18" s="13"/>
      <c r="D18" s="13"/>
      <c r="E18" s="13"/>
      <c r="F18" s="11"/>
      <c r="G18" s="11"/>
      <c r="H18" s="11"/>
      <c r="I18" s="11"/>
      <c r="J18" s="11"/>
      <c r="K18" s="11"/>
      <c r="L18" s="11"/>
      <c r="M18" s="11"/>
    </row>
  </sheetData>
  <sheetProtection algorithmName="SHA-512" hashValue="QZKItiQn3RTzRCV8MJCyRg9nTkPtHwuyp5vHd7cXATuB6C10hpYcK1kwjbwYZ30OZ69XJZWOqkau1QXefOT7tA==" saltValue="yct6T6Z34P69s58s6dzpxg==" spinCount="100000" sheet="1" selectLockedCells="1" selectUnlockedCells="1"/>
  <sortState xmlns:xlrd2="http://schemas.microsoft.com/office/spreadsheetml/2017/richdata2" ref="B4:M15">
    <sortCondition descending="1" ref="D4:D15"/>
  </sortState>
  <mergeCells count="10">
    <mergeCell ref="M1:M2"/>
    <mergeCell ref="L1:L2"/>
    <mergeCell ref="A2:D2"/>
    <mergeCell ref="A1:D1"/>
    <mergeCell ref="K1:K2"/>
    <mergeCell ref="J1:J2"/>
    <mergeCell ref="F1:F2"/>
    <mergeCell ref="I1:I2"/>
    <mergeCell ref="H1:H2"/>
    <mergeCell ref="G1:G2"/>
  </mergeCells>
  <conditionalFormatting sqref="B1:B8 B10:B1048576">
    <cfRule type="duplicateValues" dxfId="7" priority="1"/>
  </conditionalFormatting>
  <conditionalFormatting sqref="B13">
    <cfRule type="duplicateValues" dxfId="6" priority="5"/>
    <cfRule type="duplicateValues" dxfId="5" priority="6"/>
    <cfRule type="duplicateValues" dxfId="4" priority="7" stopIfTrue="1"/>
  </conditionalFormatting>
  <conditionalFormatting sqref="B16:B65537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1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3" width="6.6640625" style="11" customWidth="1"/>
    <col min="14" max="14" width="1" style="3" customWidth="1"/>
    <col min="15" max="16384" width="9.109375" style="3"/>
  </cols>
  <sheetData>
    <row r="1" spans="1:14" ht="85.5" customHeight="1" x14ac:dyDescent="0.25">
      <c r="A1" s="49"/>
      <c r="B1" s="50"/>
      <c r="C1" s="50"/>
      <c r="D1" s="51"/>
      <c r="E1" s="17"/>
      <c r="F1" s="44"/>
      <c r="G1" s="44" t="s">
        <v>44</v>
      </c>
      <c r="H1" s="44" t="s">
        <v>37</v>
      </c>
      <c r="I1" s="44" t="s">
        <v>14</v>
      </c>
      <c r="J1" s="44" t="s">
        <v>12</v>
      </c>
      <c r="K1" s="44" t="s">
        <v>10</v>
      </c>
      <c r="L1" s="42" t="s">
        <v>5</v>
      </c>
      <c r="M1" s="42" t="s">
        <v>8</v>
      </c>
      <c r="N1" s="17"/>
    </row>
    <row r="2" spans="1:14" s="4" customFormat="1" ht="82.5" customHeight="1" x14ac:dyDescent="0.25">
      <c r="A2" s="46" t="s">
        <v>47</v>
      </c>
      <c r="B2" s="47"/>
      <c r="C2" s="47"/>
      <c r="D2" s="48"/>
      <c r="E2" s="18"/>
      <c r="F2" s="45"/>
      <c r="G2" s="45"/>
      <c r="H2" s="45"/>
      <c r="I2" s="45"/>
      <c r="J2" s="45"/>
      <c r="K2" s="45"/>
      <c r="L2" s="43"/>
      <c r="M2" s="43"/>
      <c r="N2" s="23"/>
    </row>
    <row r="3" spans="1:14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45781</v>
      </c>
      <c r="H3" s="38">
        <v>45778</v>
      </c>
      <c r="I3" s="36">
        <v>45752</v>
      </c>
      <c r="J3" s="36">
        <v>45746</v>
      </c>
      <c r="K3" s="36">
        <v>45725</v>
      </c>
      <c r="L3" s="36">
        <v>45704</v>
      </c>
      <c r="M3" s="36">
        <v>45697</v>
      </c>
      <c r="N3" s="24"/>
    </row>
    <row r="4" spans="1:14" s="10" customFormat="1" ht="18" customHeight="1" x14ac:dyDescent="0.25">
      <c r="A4" s="1">
        <v>1</v>
      </c>
      <c r="B4" s="34" t="s">
        <v>9</v>
      </c>
      <c r="C4" s="1" t="s">
        <v>16</v>
      </c>
      <c r="D4" s="1">
        <f>SUM(F4:M4)</f>
        <v>557</v>
      </c>
      <c r="E4" s="21"/>
      <c r="F4" s="1"/>
      <c r="G4" s="1"/>
      <c r="H4" s="1">
        <f>80+70+55+25</f>
        <v>230</v>
      </c>
      <c r="I4" s="1"/>
      <c r="J4" s="1">
        <f>75+70+60</f>
        <v>205</v>
      </c>
      <c r="K4" s="1">
        <f>40+35+15+13</f>
        <v>103</v>
      </c>
      <c r="L4" s="1"/>
      <c r="M4" s="1">
        <f>10+6+3</f>
        <v>19</v>
      </c>
      <c r="N4" s="25"/>
    </row>
    <row r="5" spans="1:14" s="10" customFormat="1" ht="18" customHeight="1" x14ac:dyDescent="0.25">
      <c r="A5" s="1">
        <v>2</v>
      </c>
      <c r="B5" s="5" t="s">
        <v>4</v>
      </c>
      <c r="C5" s="1" t="s">
        <v>15</v>
      </c>
      <c r="D5" s="1">
        <f>SUM(F5:M5)</f>
        <v>416</v>
      </c>
      <c r="E5" s="21"/>
      <c r="F5" s="1"/>
      <c r="G5" s="1">
        <f>50+45+35+40</f>
        <v>170</v>
      </c>
      <c r="H5" s="1"/>
      <c r="I5" s="1">
        <f>40+35+13</f>
        <v>88</v>
      </c>
      <c r="J5" s="1">
        <v>55</v>
      </c>
      <c r="K5" s="1">
        <f>30+17</f>
        <v>47</v>
      </c>
      <c r="L5" s="1">
        <f>30+9+17</f>
        <v>56</v>
      </c>
      <c r="M5" s="1"/>
      <c r="N5" s="25"/>
    </row>
    <row r="6" spans="1:14" s="10" customFormat="1" ht="18" customHeight="1" x14ac:dyDescent="0.25">
      <c r="A6" s="1">
        <v>3</v>
      </c>
      <c r="B6" s="34" t="s">
        <v>7</v>
      </c>
      <c r="C6" s="1" t="s">
        <v>15</v>
      </c>
      <c r="D6" s="1">
        <f>SUM(F6:M6)</f>
        <v>260</v>
      </c>
      <c r="E6" s="20"/>
      <c r="F6" s="6"/>
      <c r="G6" s="6">
        <f>60+31+33</f>
        <v>124</v>
      </c>
      <c r="H6" s="6"/>
      <c r="I6" s="6">
        <f>30+15</f>
        <v>45</v>
      </c>
      <c r="J6" s="6">
        <v>45</v>
      </c>
      <c r="K6" s="6"/>
      <c r="L6" s="6">
        <f>15+11+20</f>
        <v>46</v>
      </c>
      <c r="M6" s="6"/>
      <c r="N6" s="25"/>
    </row>
    <row r="7" spans="1:14" s="10" customFormat="1" ht="18" customHeight="1" x14ac:dyDescent="0.25">
      <c r="A7" s="1">
        <v>4</v>
      </c>
      <c r="B7" s="5" t="s">
        <v>13</v>
      </c>
      <c r="C7" s="1" t="s">
        <v>17</v>
      </c>
      <c r="D7" s="1">
        <f>SUM(F7:M7)</f>
        <v>145</v>
      </c>
      <c r="E7" s="21"/>
      <c r="F7" s="1"/>
      <c r="G7" s="1"/>
      <c r="H7" s="1"/>
      <c r="I7" s="1"/>
      <c r="J7" s="1">
        <f>80+65</f>
        <v>145</v>
      </c>
      <c r="K7" s="1"/>
      <c r="L7" s="1"/>
      <c r="M7" s="1"/>
      <c r="N7" s="25"/>
    </row>
    <row r="8" spans="1:14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SUM(F8:M8)</f>
        <v>61</v>
      </c>
      <c r="E8" s="21"/>
      <c r="F8" s="1"/>
      <c r="G8" s="1"/>
      <c r="H8" s="1">
        <v>50</v>
      </c>
      <c r="I8" s="1"/>
      <c r="J8" s="1"/>
      <c r="K8" s="1">
        <f>7+4</f>
        <v>11</v>
      </c>
      <c r="L8" s="1"/>
      <c r="M8" s="1"/>
      <c r="N8" s="25"/>
    </row>
    <row r="9" spans="1:14" s="10" customFormat="1" ht="18" customHeight="1" x14ac:dyDescent="0.25">
      <c r="A9" s="1"/>
      <c r="B9" s="5"/>
      <c r="C9" s="1"/>
      <c r="D9" s="1"/>
      <c r="E9" s="20"/>
      <c r="F9" s="6"/>
      <c r="G9" s="6"/>
      <c r="H9" s="6"/>
      <c r="I9" s="6"/>
      <c r="J9" s="6"/>
      <c r="K9" s="6"/>
      <c r="L9" s="6"/>
      <c r="M9" s="6"/>
      <c r="N9" s="25"/>
    </row>
    <row r="10" spans="1:14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30"/>
      <c r="M10" s="30"/>
      <c r="N10" s="26"/>
    </row>
    <row r="11" spans="1:14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  <c r="L11" s="11"/>
      <c r="M11" s="11"/>
    </row>
  </sheetData>
  <sheetProtection algorithmName="SHA-512" hashValue="1u+BLs8GhUbswItsaeWxurzwP5HgHv0HpRhJ4OfnVmmFUhvMMwoTQDmu+7MBEQMosloo3acxq8JMWKS4RyepYA==" saltValue="Jjley7ICo+JOzbahvZ/tUw==" spinCount="100000" sheet="1" selectLockedCells="1" selectUnlockedCells="1"/>
  <sortState xmlns:xlrd2="http://schemas.microsoft.com/office/spreadsheetml/2017/richdata2" ref="B4:M8">
    <sortCondition descending="1" ref="D4:D8"/>
  </sortState>
  <mergeCells count="10">
    <mergeCell ref="M1:M2"/>
    <mergeCell ref="A2:D2"/>
    <mergeCell ref="A1:D1"/>
    <mergeCell ref="L1:L2"/>
    <mergeCell ref="K1:K2"/>
    <mergeCell ref="J1:J2"/>
    <mergeCell ref="I1:I2"/>
    <mergeCell ref="F1:F2"/>
    <mergeCell ref="H1:H2"/>
    <mergeCell ref="G1:G2"/>
  </mergeCells>
  <conditionalFormatting sqref="B4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1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3" width="6.6640625" style="11" customWidth="1"/>
    <col min="14" max="14" width="1" style="3" customWidth="1"/>
    <col min="15" max="16384" width="9.109375" style="3"/>
  </cols>
  <sheetData>
    <row r="1" spans="1:14" ht="85.5" customHeight="1" x14ac:dyDescent="0.25">
      <c r="A1" s="49"/>
      <c r="B1" s="50"/>
      <c r="C1" s="50"/>
      <c r="D1" s="51"/>
      <c r="E1" s="17"/>
      <c r="F1" s="44"/>
      <c r="G1" s="44" t="s">
        <v>44</v>
      </c>
      <c r="H1" s="44" t="s">
        <v>37</v>
      </c>
      <c r="I1" s="44" t="s">
        <v>14</v>
      </c>
      <c r="J1" s="44" t="s">
        <v>12</v>
      </c>
      <c r="K1" s="44" t="s">
        <v>10</v>
      </c>
      <c r="L1" s="42" t="s">
        <v>5</v>
      </c>
      <c r="M1" s="42" t="s">
        <v>20</v>
      </c>
      <c r="N1" s="17"/>
    </row>
    <row r="2" spans="1:14" s="4" customFormat="1" ht="71.25" customHeight="1" x14ac:dyDescent="0.25">
      <c r="A2" s="46" t="s">
        <v>48</v>
      </c>
      <c r="B2" s="47"/>
      <c r="C2" s="47"/>
      <c r="D2" s="48"/>
      <c r="E2" s="18"/>
      <c r="F2" s="45"/>
      <c r="G2" s="45"/>
      <c r="H2" s="45"/>
      <c r="I2" s="45"/>
      <c r="J2" s="45"/>
      <c r="K2" s="45"/>
      <c r="L2" s="43"/>
      <c r="M2" s="43"/>
      <c r="N2" s="23"/>
    </row>
    <row r="3" spans="1:14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45781</v>
      </c>
      <c r="H3" s="38">
        <v>45778</v>
      </c>
      <c r="I3" s="36">
        <v>45752</v>
      </c>
      <c r="J3" s="36">
        <v>45745</v>
      </c>
      <c r="K3" s="36">
        <v>45725</v>
      </c>
      <c r="L3" s="36">
        <v>45704</v>
      </c>
      <c r="M3" s="37">
        <v>45697</v>
      </c>
      <c r="N3" s="24"/>
    </row>
    <row r="4" spans="1:14" s="10" customFormat="1" ht="18" customHeight="1" x14ac:dyDescent="0.25">
      <c r="A4" s="1">
        <v>1</v>
      </c>
      <c r="B4" s="34" t="s">
        <v>4</v>
      </c>
      <c r="C4" s="1" t="s">
        <v>15</v>
      </c>
      <c r="D4" s="1">
        <f>SUM(F4:M4)</f>
        <v>215</v>
      </c>
      <c r="E4" s="20"/>
      <c r="F4" s="6"/>
      <c r="G4" s="6">
        <f>30+27.5</f>
        <v>57.5</v>
      </c>
      <c r="H4" s="6"/>
      <c r="I4" s="6">
        <f>17.5+20</f>
        <v>37.5</v>
      </c>
      <c r="J4" s="6">
        <f>25+20</f>
        <v>45</v>
      </c>
      <c r="K4" s="6"/>
      <c r="L4" s="6">
        <f>40+35</f>
        <v>75</v>
      </c>
      <c r="M4" s="6"/>
      <c r="N4" s="21"/>
    </row>
    <row r="5" spans="1:14" s="10" customFormat="1" ht="18" customHeight="1" x14ac:dyDescent="0.25">
      <c r="A5" s="1">
        <v>2</v>
      </c>
      <c r="B5" s="33" t="s">
        <v>18</v>
      </c>
      <c r="C5" s="1" t="s">
        <v>16</v>
      </c>
      <c r="D5" s="1">
        <f>SUM(F5:M5)</f>
        <v>190.5</v>
      </c>
      <c r="E5" s="21"/>
      <c r="F5" s="1"/>
      <c r="G5" s="1"/>
      <c r="H5" s="1">
        <f>75+60</f>
        <v>135</v>
      </c>
      <c r="I5" s="1"/>
      <c r="J5" s="1"/>
      <c r="K5" s="1">
        <f>20+17.5</f>
        <v>37.5</v>
      </c>
      <c r="L5" s="1"/>
      <c r="M5" s="1">
        <f>10+8</f>
        <v>18</v>
      </c>
      <c r="N5" s="21"/>
    </row>
    <row r="6" spans="1:14" s="10" customFormat="1" ht="18" customHeight="1" x14ac:dyDescent="0.25">
      <c r="A6" s="1">
        <v>3</v>
      </c>
      <c r="B6" s="34" t="s">
        <v>13</v>
      </c>
      <c r="C6" s="1" t="s">
        <v>17</v>
      </c>
      <c r="D6" s="1">
        <f>SUM(F6:M6)</f>
        <v>70</v>
      </c>
      <c r="E6" s="20"/>
      <c r="F6" s="6"/>
      <c r="G6" s="6"/>
      <c r="H6" s="6"/>
      <c r="I6" s="6"/>
      <c r="J6" s="6">
        <f>40+30</f>
        <v>70</v>
      </c>
      <c r="K6" s="6"/>
      <c r="L6" s="6"/>
      <c r="M6" s="6"/>
      <c r="N6" s="21"/>
    </row>
    <row r="7" spans="1:14" s="10" customFormat="1" ht="18" customHeight="1" x14ac:dyDescent="0.25">
      <c r="A7" s="1">
        <v>4</v>
      </c>
      <c r="B7" s="34" t="s">
        <v>19</v>
      </c>
      <c r="C7" s="1" t="s">
        <v>17</v>
      </c>
      <c r="D7" s="1">
        <f>SUM(F7:M7)</f>
        <v>30</v>
      </c>
      <c r="E7" s="20"/>
      <c r="F7" s="6"/>
      <c r="G7" s="6"/>
      <c r="H7" s="6"/>
      <c r="I7" s="6"/>
      <c r="J7" s="6">
        <f>17+13</f>
        <v>30</v>
      </c>
      <c r="K7" s="6"/>
      <c r="L7" s="6"/>
      <c r="M7" s="6"/>
      <c r="N7" s="21"/>
    </row>
    <row r="8" spans="1:14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SUM(F8:M8)</f>
        <v>27.5</v>
      </c>
      <c r="E8" s="20"/>
      <c r="F8" s="6"/>
      <c r="G8" s="6"/>
      <c r="H8" s="6"/>
      <c r="I8" s="6"/>
      <c r="J8" s="6"/>
      <c r="K8" s="6">
        <f>15+12.5</f>
        <v>27.5</v>
      </c>
      <c r="L8" s="6"/>
      <c r="M8" s="6"/>
      <c r="N8" s="21"/>
    </row>
    <row r="9" spans="1:14" ht="18" customHeight="1" x14ac:dyDescent="0.25">
      <c r="A9" s="1"/>
      <c r="B9" s="5"/>
      <c r="C9" s="1"/>
      <c r="D9" s="1"/>
      <c r="E9" s="18"/>
      <c r="F9" s="6"/>
      <c r="G9" s="6"/>
      <c r="H9" s="6"/>
      <c r="I9" s="6"/>
      <c r="J9" s="6"/>
      <c r="K9" s="6"/>
      <c r="L9" s="6"/>
      <c r="M9" s="6"/>
      <c r="N9" s="23"/>
    </row>
    <row r="10" spans="1:14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30"/>
      <c r="M10" s="30"/>
      <c r="N10" s="26"/>
    </row>
    <row r="11" spans="1:14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  <c r="L11" s="11"/>
      <c r="M11" s="11"/>
    </row>
  </sheetData>
  <sheetProtection algorithmName="SHA-512" hashValue="Fl/KmYc4tsbzneXVW8DpY3Q5LEqVQYoBpYpbxsv1VutdOXXs4P/RqVcmBsiYsFP8+ez6GzaW+XVC2ejbqud3uA==" saltValue="ZT9hB9FxK4XEBd5NTrOubw==" spinCount="100000" sheet="1" selectLockedCells="1" selectUnlockedCells="1"/>
  <sortState xmlns:xlrd2="http://schemas.microsoft.com/office/spreadsheetml/2017/richdata2" ref="B4:M8">
    <sortCondition descending="1" ref="D4:D8"/>
  </sortState>
  <mergeCells count="10">
    <mergeCell ref="L1:L2"/>
    <mergeCell ref="M1:M2"/>
    <mergeCell ref="A2:D2"/>
    <mergeCell ref="A1:D1"/>
    <mergeCell ref="F1:F2"/>
    <mergeCell ref="K1:K2"/>
    <mergeCell ref="I1:I2"/>
    <mergeCell ref="J1:J2"/>
    <mergeCell ref="H1:H2"/>
    <mergeCell ref="G1:G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2025-05-23T19:00:55Z</dcterms:modified>
</cp:coreProperties>
</file>